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-21\Desktop\"/>
    </mc:Choice>
  </mc:AlternateContent>
  <bookViews>
    <workbookView xWindow="0" yWindow="0" windowWidth="28800" windowHeight="12330" tabRatio="598" firstSheet="1" activeTab="1"/>
  </bookViews>
  <sheets>
    <sheet name="Расчет Уфа" sheetId="72" state="hidden" r:id="rId1"/>
    <sheet name="Прайс Уфа" sheetId="74" r:id="rId2"/>
    <sheet name="Прайс Стерлитамак" sheetId="79" state="hidden" r:id="rId3"/>
  </sheets>
  <definedNames>
    <definedName name="_xlnm.Print_Area" localSheetId="2">'Прайс Стерлитамак'!$A:$F</definedName>
    <definedName name="_xlnm.Print_Area" localSheetId="1">'Прайс Уфа'!$A$1:$E$34</definedName>
    <definedName name="_xlnm.Print_Area" localSheetId="0">'Расчет Уфа'!$A$1:$R$17</definedName>
  </definedNames>
  <calcPr calcId="191029" refMode="R1C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74" l="1"/>
  <c r="E9" i="79" l="1"/>
  <c r="B17" i="74" l="1"/>
  <c r="B18" i="74"/>
  <c r="L10" i="72"/>
  <c r="N10" i="72" s="1"/>
  <c r="Q10" i="72" l="1"/>
  <c r="P10" i="72" s="1"/>
  <c r="D17" i="74" s="1"/>
  <c r="E17" i="74" l="1"/>
  <c r="R10" i="72"/>
  <c r="S10" i="72"/>
  <c r="U10" i="72"/>
  <c r="L14" i="72"/>
  <c r="N14" i="72" s="1"/>
  <c r="B21" i="74"/>
  <c r="Q14" i="72" l="1"/>
  <c r="P14" i="72" s="1"/>
  <c r="D21" i="74" s="1"/>
  <c r="E21" i="74" l="1"/>
  <c r="R14" i="72"/>
  <c r="S14" i="72"/>
  <c r="U14" i="72"/>
  <c r="B19" i="79" l="1"/>
  <c r="C35" i="79" l="1"/>
  <c r="A35" i="79"/>
  <c r="C34" i="79"/>
  <c r="A34" i="79"/>
  <c r="C33" i="79"/>
  <c r="B33" i="79"/>
  <c r="C32" i="79"/>
  <c r="B32" i="79"/>
  <c r="C31" i="79"/>
  <c r="B31" i="79"/>
  <c r="C30" i="79"/>
  <c r="B30" i="79"/>
  <c r="C29" i="79"/>
  <c r="B29" i="79"/>
  <c r="C27" i="79"/>
  <c r="B27" i="79"/>
  <c r="C26" i="79"/>
  <c r="B26" i="79"/>
  <c r="C25" i="79"/>
  <c r="B25" i="79"/>
  <c r="C24" i="79"/>
  <c r="B24" i="79"/>
  <c r="C23" i="79"/>
  <c r="C22" i="79"/>
  <c r="B22" i="79"/>
  <c r="C21" i="79"/>
  <c r="B21" i="79"/>
  <c r="C20" i="79"/>
  <c r="B20" i="79"/>
  <c r="C18" i="79"/>
  <c r="B18" i="79"/>
  <c r="C17" i="79"/>
  <c r="B17" i="79"/>
  <c r="C16" i="79"/>
  <c r="C15" i="79"/>
  <c r="B15" i="79"/>
  <c r="C14" i="79"/>
  <c r="B14" i="79"/>
  <c r="C12" i="79"/>
  <c r="B12" i="79"/>
  <c r="C23" i="74" l="1"/>
  <c r="B19" i="74"/>
  <c r="B20" i="74"/>
  <c r="B22" i="74"/>
  <c r="B16" i="74"/>
  <c r="A23" i="74" l="1"/>
  <c r="F34" i="79" l="1"/>
  <c r="F33" i="79"/>
  <c r="D32" i="79" l="1"/>
  <c r="F31" i="79"/>
  <c r="F32" i="79"/>
  <c r="E25" i="79"/>
  <c r="E24" i="79"/>
  <c r="E20" i="79"/>
  <c r="E26" i="79" l="1"/>
  <c r="E18" i="79"/>
  <c r="D33" i="79"/>
  <c r="E21" i="79"/>
  <c r="D31" i="79"/>
  <c r="E27" i="79"/>
  <c r="D34" i="79"/>
  <c r="E22" i="79"/>
  <c r="G34" i="79" l="1"/>
  <c r="I34" i="79"/>
  <c r="P5" i="72"/>
  <c r="F35" i="72" l="1"/>
  <c r="F34" i="72"/>
  <c r="F32" i="72"/>
  <c r="L31" i="72"/>
  <c r="F31" i="72"/>
  <c r="L30" i="72"/>
  <c r="L15" i="72"/>
  <c r="N15" i="72" s="1"/>
  <c r="Q15" i="72" s="1"/>
  <c r="P15" i="72" s="1"/>
  <c r="D22" i="74" s="1"/>
  <c r="L13" i="72"/>
  <c r="N13" i="72" s="1"/>
  <c r="L12" i="72"/>
  <c r="N12" i="72" s="1"/>
  <c r="L11" i="72"/>
  <c r="N11" i="72" s="1"/>
  <c r="L9" i="72"/>
  <c r="N9" i="72" s="1"/>
  <c r="E22" i="74" l="1"/>
  <c r="S15" i="72"/>
  <c r="F33" i="72"/>
  <c r="L32" i="72"/>
  <c r="L33" i="72" s="1"/>
  <c r="R15" i="72"/>
  <c r="Q9" i="72"/>
  <c r="P9" i="72" s="1"/>
  <c r="D16" i="74" s="1"/>
  <c r="Q12" i="72"/>
  <c r="P12" i="72" s="1"/>
  <c r="Q13" i="72"/>
  <c r="P13" i="72" s="1"/>
  <c r="D20" i="74" s="1"/>
  <c r="Q11" i="72"/>
  <c r="P11" i="72" s="1"/>
  <c r="D18" i="74" s="1"/>
  <c r="E20" i="74" l="1"/>
  <c r="E19" i="74"/>
  <c r="E18" i="74"/>
  <c r="E16" i="74"/>
  <c r="E12" i="79" s="1"/>
  <c r="E15" i="79"/>
  <c r="D23" i="74"/>
  <c r="E23" i="74" s="1"/>
  <c r="F35" i="79" s="1"/>
  <c r="S9" i="72"/>
  <c r="S13" i="72"/>
  <c r="S12" i="72"/>
  <c r="S11" i="72"/>
  <c r="R11" i="72"/>
  <c r="R13" i="72"/>
  <c r="R12" i="72"/>
  <c r="R9" i="72"/>
  <c r="D35" i="79" l="1"/>
  <c r="G16" i="74"/>
  <c r="E14" i="79"/>
  <c r="E17" i="79"/>
  <c r="G22" i="74"/>
  <c r="G35" i="79"/>
  <c r="I35" i="79"/>
  <c r="G23" i="74"/>
  <c r="G20" i="74"/>
  <c r="U12" i="72"/>
  <c r="U13" i="72"/>
  <c r="U15" i="72"/>
  <c r="U11" i="72"/>
  <c r="U9" i="72"/>
  <c r="G19" i="74" l="1"/>
  <c r="G18" i="74"/>
</calcChain>
</file>

<file path=xl/sharedStrings.xml><?xml version="1.0" encoding="utf-8"?>
<sst xmlns="http://schemas.openxmlformats.org/spreadsheetml/2006/main" count="104" uniqueCount="84">
  <si>
    <t>Рентабельность</t>
  </si>
  <si>
    <t>Цена продажи (руб.)</t>
  </si>
  <si>
    <t>Категория лома</t>
  </si>
  <si>
    <t>Затраты на 1 тн.</t>
  </si>
  <si>
    <t>Комментарий/описание</t>
  </si>
  <si>
    <t>Пункт поставки лома</t>
  </si>
  <si>
    <t>Разница в засоре, руб./тн.</t>
  </si>
  <si>
    <t>Разница в засоре, %</t>
  </si>
  <si>
    <t>Прочие затраты, руб./тн.</t>
  </si>
  <si>
    <t>ВСЕГО руб./тн.</t>
  </si>
  <si>
    <t>Отгрузка/ погрузка, руб./тн.</t>
  </si>
  <si>
    <t>Тр-ые расходы, руб./тн.</t>
  </si>
  <si>
    <t>Демонтаж/ переработка руб./тн.</t>
  </si>
  <si>
    <t>Директор</t>
  </si>
  <si>
    <t>Отгрузка (работа техники) руб./тн.</t>
  </si>
  <si>
    <t>Прибыль с 1 тн.</t>
  </si>
  <si>
    <t>Согласовано:</t>
  </si>
  <si>
    <t>Расчёт ценообразования прайслиста по г. Уфа</t>
  </si>
  <si>
    <t>Цена покупки нетто (руб.)</t>
  </si>
  <si>
    <t>Утверждаю:</t>
  </si>
  <si>
    <t>Директор ООО "Ферроком"</t>
  </si>
  <si>
    <t>по г. Уфа</t>
  </si>
  <si>
    <t>Характеристика</t>
  </si>
  <si>
    <t>Юридические        лица</t>
  </si>
  <si>
    <t>Физические               лица</t>
  </si>
  <si>
    <t>При вывозе лома Транспортом Покупателя стоимость 1 часа работы а/м составляет 1 600 руб.</t>
  </si>
  <si>
    <t xml:space="preserve">Адреса организации: </t>
  </si>
  <si>
    <t>Юридический адрес: г.Уфа, ул. Бабушкина 25 офис №7, тел. 282-15-80, 282-26-62</t>
  </si>
  <si>
    <t xml:space="preserve">e-mail: ferrokom@ferrokom.com        </t>
  </si>
  <si>
    <t xml:space="preserve">www.ferrokom.com        </t>
  </si>
  <si>
    <t>____________________  Кукарин В.В.</t>
  </si>
  <si>
    <t>по г. Стерлитамак</t>
  </si>
  <si>
    <t>Предыдущая цена покупки нетто (руб.)</t>
  </si>
  <si>
    <t>% банка, 13% годовых, руб./тн.</t>
  </si>
  <si>
    <r>
      <t xml:space="preserve">Цена руб./тн. нетто </t>
    </r>
    <r>
      <rPr>
        <b/>
        <sz val="28"/>
        <color theme="1"/>
        <rFont val="Calibri"/>
        <family val="2"/>
        <charset val="204"/>
        <scheme val="minor"/>
      </rPr>
      <t>без НДС</t>
    </r>
    <r>
      <rPr>
        <b/>
        <sz val="24"/>
        <color theme="1"/>
        <rFont val="Calibri"/>
        <family val="2"/>
        <charset val="204"/>
        <scheme val="minor"/>
      </rPr>
      <t xml:space="preserve">        при вывозе транспортом Поставщика</t>
    </r>
  </si>
  <si>
    <t>Алюминий</t>
  </si>
  <si>
    <t>А 1-2</t>
  </si>
  <si>
    <t>Наименование</t>
  </si>
  <si>
    <t>Класс, группа, сорт</t>
  </si>
  <si>
    <t>Заготовительные цены на лом и отходы цветных металлов и сплавов</t>
  </si>
  <si>
    <t>Медь</t>
  </si>
  <si>
    <t>Бронза</t>
  </si>
  <si>
    <t>Титан</t>
  </si>
  <si>
    <t>Свинец</t>
  </si>
  <si>
    <t>Кабель</t>
  </si>
  <si>
    <t xml:space="preserve">г. Стерлитамак, ул. 40-ой проезд, 10			</t>
  </si>
  <si>
    <t>А 9/13, 3/8</t>
  </si>
  <si>
    <t>Алюминий сортовой</t>
  </si>
  <si>
    <t>Алюминий микс</t>
  </si>
  <si>
    <t>Бронза/                         Латунь</t>
  </si>
  <si>
    <t>Аккумуляторы</t>
  </si>
  <si>
    <t>Рольный (мягкий), кабельная оболочка, листы свинцовые, переплав, грузы</t>
  </si>
  <si>
    <t>Жилы силовых кабелей (очищенные механическим путем), провод без изоляции, шины, пищевая емкость, дверные, оконные профили</t>
  </si>
  <si>
    <t>Кусковая медь, проводники тока и отходы проката в лаке, с пайкой, после обжига, чистые</t>
  </si>
  <si>
    <t>Физические лица</t>
  </si>
  <si>
    <t>Нержавеющая сталь</t>
  </si>
  <si>
    <t>3Б26(10)</t>
  </si>
  <si>
    <t>3Б26(8)</t>
  </si>
  <si>
    <t>3Б27</t>
  </si>
  <si>
    <t>3Б55</t>
  </si>
  <si>
    <t>3Б28</t>
  </si>
  <si>
    <t>16Б26(10)</t>
  </si>
  <si>
    <t>Легированный кусковой лом нерж.стали с содержанием никеля 9,3-11,9% и хрома от 16,9%.</t>
  </si>
  <si>
    <t>Легированный кусковой лом нерж.стали с содержанием никеля 4,5-7,4% и хрома от 16,9%.</t>
  </si>
  <si>
    <t>Легированный кусковой лом нерж.стали с содержанием никеля 11,9-13,8% , хрома от 16,9% и молибдена 1,9-3,8%.</t>
  </si>
  <si>
    <t>Легированный кусковой лом нерж.стали с содерж.никеля от 17,9 -18,9% и хрома от 21,9%.</t>
  </si>
  <si>
    <t>Стружка (Ni 9,3-11,9%, Cr 18% )</t>
  </si>
  <si>
    <t>Габариты категории 3Б не более 500*500*1500 мм., масса от 0.2 кг.до 400 кг.</t>
  </si>
  <si>
    <t>Цена за негабарит минус 2200 руб./тн.</t>
  </si>
  <si>
    <t>Адрес производственной базы:</t>
  </si>
  <si>
    <t>г. Уфа, ул. Путейская, 25 (Промзона, территория Уфахимпром), тел. 229-42-97</t>
  </si>
  <si>
    <t>Юридический адрес: г. Уфа, ул. Бабушкина 25 офис №7, Тел. 282-15-80, 282-26-62</t>
  </si>
  <si>
    <t>3Б26(9)</t>
  </si>
  <si>
    <t>Легированный кусковой лом нерж.стали с содержанием никеля 8,0-8,7% и хрома от 16,9%.</t>
  </si>
  <si>
    <t>Легированный кусковой лом нерж.стали с содержанием никеля 8,8-9,2% и хрома от 16,9%.</t>
  </si>
  <si>
    <t>Заготовительные цены на легированный лом нержавеющей стали</t>
  </si>
  <si>
    <t>_________________  Кукарин В.В.</t>
  </si>
  <si>
    <t>Кукарин В.В.</t>
  </si>
  <si>
    <r>
      <t xml:space="preserve">Цена руб./тн. нетто </t>
    </r>
    <r>
      <rPr>
        <b/>
        <sz val="28"/>
        <color theme="1"/>
        <rFont val="Calibri"/>
        <family val="2"/>
        <charset val="204"/>
        <scheme val="minor"/>
      </rPr>
      <t>без НДС</t>
    </r>
    <r>
      <rPr>
        <b/>
        <sz val="24"/>
        <color theme="1"/>
        <rFont val="Calibri"/>
        <family val="2"/>
        <charset val="204"/>
        <scheme val="minor"/>
      </rPr>
      <t xml:space="preserve"> при вывозе транспортом Поставщика</t>
    </r>
  </si>
  <si>
    <t>Вд.экономист                                                                             Валиев Р. К.</t>
  </si>
  <si>
    <t>Зам. директора по сбыту                                                        Брановец О. И.</t>
  </si>
  <si>
    <t>При вывозе лома Транспортом Покупателя стоимость работы а/м составляет 2 600 руб./час.</t>
  </si>
  <si>
    <t>ООО "Акрон Южный Урал"</t>
  </si>
  <si>
    <t>от 20.09.2022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</si>
</sst>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0.0%"/>
  </numFmts>
  <fonts count="26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7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7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30"/>
      <color theme="1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2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>
      <alignment horizontal="left"/>
    </xf>
    <xf numFmtId="0" fontId="9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Fill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vertical="center"/>
      <protection locked="0" hidden="1"/>
    </xf>
    <xf numFmtId="0" fontId="4" fillId="0" borderId="0" xfId="0" applyFont="1" applyAlignment="1">
      <alignment horizontal="center" vertical="center"/>
    </xf>
    <xf numFmtId="3" fontId="0" fillId="0" borderId="0" xfId="0" applyNumberFormat="1"/>
    <xf numFmtId="3" fontId="4" fillId="2" borderId="25" xfId="0" applyNumberFormat="1" applyFont="1" applyFill="1" applyBorder="1" applyAlignment="1">
      <alignment horizontal="center" vertical="center"/>
    </xf>
    <xf numFmtId="3" fontId="4" fillId="2" borderId="26" xfId="0" applyNumberFormat="1" applyFont="1" applyFill="1" applyBorder="1" applyAlignment="1">
      <alignment horizontal="center" vertical="center"/>
    </xf>
    <xf numFmtId="3" fontId="5" fillId="3" borderId="28" xfId="0" applyNumberFormat="1" applyFont="1" applyFill="1" applyBorder="1" applyAlignment="1">
      <alignment horizontal="center" vertical="center"/>
    </xf>
    <xf numFmtId="3" fontId="5" fillId="3" borderId="29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protection locked="0" hidden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/>
    <xf numFmtId="0" fontId="0" fillId="0" borderId="0" xfId="0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/>
    </xf>
    <xf numFmtId="3" fontId="16" fillId="0" borderId="31" xfId="0" applyNumberFormat="1" applyFont="1" applyBorder="1" applyAlignment="1">
      <alignment horizontal="center" vertical="center"/>
    </xf>
    <xf numFmtId="0" fontId="0" fillId="0" borderId="27" xfId="0" applyBorder="1"/>
    <xf numFmtId="3" fontId="14" fillId="0" borderId="2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vertical="center"/>
    </xf>
    <xf numFmtId="0" fontId="6" fillId="0" borderId="0" xfId="2" applyFont="1" applyAlignment="1">
      <alignment horizontal="left" vertical="center"/>
    </xf>
    <xf numFmtId="0" fontId="15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3" fontId="16" fillId="0" borderId="32" xfId="0" applyNumberFormat="1" applyFont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 horizontal="center" vertical="center"/>
    </xf>
    <xf numFmtId="3" fontId="16" fillId="0" borderId="47" xfId="0" applyNumberFormat="1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wrapText="1"/>
    </xf>
    <xf numFmtId="3" fontId="16" fillId="0" borderId="5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3" fontId="14" fillId="0" borderId="50" xfId="0" applyNumberFormat="1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 wrapText="1"/>
    </xf>
    <xf numFmtId="3" fontId="14" fillId="0" borderId="55" xfId="0" applyNumberFormat="1" applyFont="1" applyBorder="1" applyAlignment="1">
      <alignment horizontal="center" vertical="center"/>
    </xf>
    <xf numFmtId="3" fontId="16" fillId="0" borderId="56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wrapText="1"/>
    </xf>
    <xf numFmtId="0" fontId="0" fillId="0" borderId="0" xfId="0" applyNumberForma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0" fontId="14" fillId="0" borderId="41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29" xfId="0" applyNumberFormat="1" applyFont="1" applyBorder="1" applyAlignment="1">
      <alignment horizontal="center" vertical="center" wrapText="1"/>
    </xf>
    <xf numFmtId="0" fontId="14" fillId="0" borderId="43" xfId="0" applyNumberFormat="1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wrapText="1"/>
    </xf>
    <xf numFmtId="0" fontId="10" fillId="0" borderId="0" xfId="0" applyNumberFormat="1" applyFont="1" applyAlignment="1">
      <alignment horizontal="left" vertical="center" wrapText="1"/>
    </xf>
    <xf numFmtId="0" fontId="6" fillId="0" borderId="0" xfId="2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center" wrapText="1"/>
    </xf>
    <xf numFmtId="0" fontId="14" fillId="0" borderId="27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6" fillId="0" borderId="5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3" fontId="14" fillId="0" borderId="16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60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4" fillId="0" borderId="61" xfId="0" applyNumberFormat="1" applyFont="1" applyBorder="1" applyAlignment="1">
      <alignment horizontal="center" vertical="center"/>
    </xf>
    <xf numFmtId="3" fontId="14" fillId="0" borderId="62" xfId="0" applyNumberFormat="1" applyFont="1" applyBorder="1" applyAlignment="1">
      <alignment horizontal="center" vertical="center"/>
    </xf>
    <xf numFmtId="3" fontId="14" fillId="0" borderId="64" xfId="0" applyNumberFormat="1" applyFont="1" applyBorder="1" applyAlignment="1">
      <alignment horizontal="center" vertical="center"/>
    </xf>
    <xf numFmtId="3" fontId="16" fillId="0" borderId="67" xfId="0" applyNumberFormat="1" applyFont="1" applyBorder="1" applyAlignment="1">
      <alignment horizontal="center" vertical="center"/>
    </xf>
    <xf numFmtId="3" fontId="14" fillId="0" borderId="66" xfId="0" applyNumberFormat="1" applyFont="1" applyBorder="1" applyAlignment="1">
      <alignment horizontal="center" vertical="center"/>
    </xf>
    <xf numFmtId="0" fontId="18" fillId="0" borderId="0" xfId="0" applyFont="1"/>
    <xf numFmtId="3" fontId="14" fillId="0" borderId="68" xfId="0" applyNumberFormat="1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0" fontId="0" fillId="0" borderId="0" xfId="0" applyBorder="1"/>
    <xf numFmtId="0" fontId="6" fillId="0" borderId="12" xfId="0" applyFont="1" applyBorder="1" applyAlignment="1">
      <alignment horizontal="center" vertical="center" wrapText="1"/>
    </xf>
    <xf numFmtId="3" fontId="6" fillId="0" borderId="69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3" fontId="14" fillId="0" borderId="71" xfId="0" applyNumberFormat="1" applyFont="1" applyBorder="1" applyAlignment="1">
      <alignment horizontal="center" vertical="center"/>
    </xf>
    <xf numFmtId="3" fontId="16" fillId="0" borderId="72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64" fontId="24" fillId="0" borderId="0" xfId="0" applyNumberFormat="1" applyFont="1" applyAlignment="1">
      <alignment vertical="center"/>
    </xf>
    <xf numFmtId="0" fontId="23" fillId="0" borderId="0" xfId="0" applyFont="1"/>
    <xf numFmtId="0" fontId="19" fillId="0" borderId="0" xfId="0" applyFont="1" applyAlignment="1">
      <alignment horizontal="left" vertical="center"/>
    </xf>
    <xf numFmtId="2" fontId="20" fillId="0" borderId="0" xfId="1" applyNumberFormat="1" applyFont="1" applyAlignment="1">
      <alignment horizontal="left" vertical="center" wrapText="1"/>
    </xf>
    <xf numFmtId="164" fontId="21" fillId="0" borderId="0" xfId="1" applyNumberFormat="1" applyFont="1" applyAlignment="1">
      <alignment horizontal="left" vertical="center" wrapText="1"/>
    </xf>
    <xf numFmtId="164" fontId="22" fillId="0" borderId="0" xfId="1" applyNumberFormat="1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 applyProtection="1">
      <alignment horizontal="center" vertical="center"/>
      <protection hidden="1"/>
    </xf>
    <xf numFmtId="3" fontId="5" fillId="3" borderId="14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4" fillId="0" borderId="7" xfId="0" applyNumberFormat="1" applyFont="1" applyBorder="1" applyAlignment="1" applyProtection="1">
      <alignment horizontal="center" vertical="center"/>
      <protection hidden="1"/>
    </xf>
    <xf numFmtId="3" fontId="5" fillId="3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25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21" fillId="0" borderId="0" xfId="1" applyNumberFormat="1" applyFont="1" applyAlignment="1">
      <alignment horizontal="left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2" fontId="21" fillId="0" borderId="0" xfId="1" applyNumberFormat="1" applyFont="1" applyAlignment="1">
      <alignment horizontal="left" vertical="center" wrapText="1"/>
    </xf>
    <xf numFmtId="3" fontId="14" fillId="0" borderId="42" xfId="0" applyNumberFormat="1" applyFont="1" applyBorder="1" applyAlignment="1">
      <alignment horizontal="center" vertical="center"/>
    </xf>
    <xf numFmtId="3" fontId="14" fillId="0" borderId="59" xfId="0" applyNumberFormat="1" applyFont="1" applyBorder="1" applyAlignment="1">
      <alignment horizontal="center" vertical="center"/>
    </xf>
    <xf numFmtId="3" fontId="14" fillId="0" borderId="63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2" fontId="6" fillId="0" borderId="65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3" fillId="0" borderId="28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90054</xdr:colOff>
      <xdr:row>5</xdr:row>
      <xdr:rowOff>0</xdr:rowOff>
    </xdr:from>
    <xdr:to>
      <xdr:col>2</xdr:col>
      <xdr:colOff>2730499</xdr:colOff>
      <xdr:row>8</xdr:row>
      <xdr:rowOff>365125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096BD81-5465-4BE5-A64A-295B7106023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4" y="0"/>
          <a:ext cx="7244195" cy="150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90054</xdr:colOff>
      <xdr:row>1</xdr:row>
      <xdr:rowOff>0</xdr:rowOff>
    </xdr:from>
    <xdr:to>
      <xdr:col>2</xdr:col>
      <xdr:colOff>4841874</xdr:colOff>
      <xdr:row>4</xdr:row>
      <xdr:rowOff>365125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A96526E-319E-47E5-80AD-6099E99623C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4" y="0"/>
          <a:ext cx="7237845" cy="150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errokom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erroko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view="pageBreakPreview" topLeftCell="A2" zoomScale="55" zoomScaleNormal="85" zoomScaleSheetLayoutView="55" workbookViewId="0">
      <selection activeCell="E16" sqref="E16"/>
    </sheetView>
  </sheetViews>
  <sheetFormatPr defaultRowHeight="21" x14ac:dyDescent="0.25"/>
  <cols>
    <col min="1" max="1" width="10.625" customWidth="1"/>
    <col min="2" max="2" width="15.625" customWidth="1"/>
    <col min="3" max="3" width="80.625" customWidth="1"/>
    <col min="4" max="14" width="15.625" customWidth="1"/>
    <col min="15" max="15" width="10.625" customWidth="1"/>
    <col min="16" max="16" width="15.625" style="6" customWidth="1"/>
    <col min="17" max="17" width="1.625" style="25" customWidth="1"/>
    <col min="18" max="18" width="12.625" style="28" customWidth="1"/>
    <col min="19" max="19" width="12.625" customWidth="1"/>
    <col min="20" max="20" width="17.625" customWidth="1"/>
  </cols>
  <sheetData>
    <row r="1" spans="1:28" ht="18.75" hidden="1" customHeight="1" x14ac:dyDescent="0.2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4"/>
    </row>
    <row r="2" spans="1:28" ht="30" customHeight="1" x14ac:dyDescent="0.25">
      <c r="A2" s="30"/>
      <c r="B2" s="62"/>
      <c r="C2" s="30"/>
      <c r="D2" s="30"/>
      <c r="E2" s="30"/>
      <c r="F2" s="30"/>
      <c r="G2" s="30"/>
      <c r="H2" s="30"/>
      <c r="I2" s="30"/>
      <c r="J2" s="30"/>
      <c r="K2" s="30"/>
      <c r="L2" s="30"/>
      <c r="M2" s="33" t="s">
        <v>16</v>
      </c>
      <c r="N2" s="34"/>
      <c r="O2" s="34"/>
      <c r="P2" s="32"/>
      <c r="R2" s="29"/>
    </row>
    <row r="3" spans="1:28" ht="30" customHeight="1" x14ac:dyDescent="0.35">
      <c r="A3" s="30"/>
      <c r="B3" s="62"/>
      <c r="C3" s="30"/>
      <c r="D3" s="30"/>
      <c r="E3" s="30"/>
      <c r="F3" s="30"/>
      <c r="G3" s="30"/>
      <c r="H3" s="30"/>
      <c r="I3" s="30"/>
      <c r="J3" s="30"/>
      <c r="K3" s="30"/>
      <c r="L3" s="30"/>
      <c r="M3" s="40" t="s">
        <v>13</v>
      </c>
      <c r="N3" s="41"/>
      <c r="O3" s="41"/>
      <c r="P3" s="175" t="s">
        <v>77</v>
      </c>
      <c r="Q3" s="175"/>
      <c r="R3" s="175"/>
    </row>
    <row r="4" spans="1:28" ht="30" customHeight="1" x14ac:dyDescent="0.25">
      <c r="A4" s="30"/>
      <c r="B4" s="62"/>
      <c r="C4" s="30"/>
      <c r="D4" s="30"/>
      <c r="E4" s="30"/>
      <c r="F4" s="30"/>
      <c r="G4" s="30"/>
      <c r="H4" s="30"/>
      <c r="I4" s="30"/>
      <c r="J4" s="30"/>
      <c r="K4" s="30"/>
      <c r="L4" s="30"/>
      <c r="M4" s="33"/>
      <c r="N4" s="34"/>
      <c r="O4" s="34"/>
      <c r="P4" s="32"/>
      <c r="R4" s="29"/>
    </row>
    <row r="5" spans="1:28" ht="30" customHeight="1" x14ac:dyDescent="0.25">
      <c r="A5" s="165" t="s">
        <v>17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31"/>
      <c r="P5" s="176" t="str">
        <f>'Прайс Уфа'!E13</f>
        <v>от 20.09.2022 г.</v>
      </c>
      <c r="Q5" s="176"/>
      <c r="R5" s="176"/>
    </row>
    <row r="6" spans="1:28" ht="30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5"/>
      <c r="R6" s="29"/>
    </row>
    <row r="7" spans="1:28" ht="30" customHeight="1" thickBot="1" x14ac:dyDescent="0.3">
      <c r="A7" s="168" t="s">
        <v>2</v>
      </c>
      <c r="B7" s="169"/>
      <c r="C7" s="156" t="s">
        <v>4</v>
      </c>
      <c r="D7" s="156" t="s">
        <v>5</v>
      </c>
      <c r="E7" s="158" t="s">
        <v>1</v>
      </c>
      <c r="F7" s="160" t="s">
        <v>3</v>
      </c>
      <c r="G7" s="161"/>
      <c r="H7" s="161"/>
      <c r="I7" s="161"/>
      <c r="J7" s="161"/>
      <c r="K7" s="161"/>
      <c r="L7" s="161"/>
      <c r="M7" s="161"/>
      <c r="N7" s="162"/>
      <c r="O7" s="163" t="s">
        <v>0</v>
      </c>
      <c r="P7" s="166" t="s">
        <v>18</v>
      </c>
      <c r="R7" s="177" t="s">
        <v>15</v>
      </c>
    </row>
    <row r="8" spans="1:28" ht="90" customHeight="1" thickBot="1" x14ac:dyDescent="0.3">
      <c r="A8" s="170"/>
      <c r="B8" s="171"/>
      <c r="C8" s="157"/>
      <c r="D8" s="157"/>
      <c r="E8" s="159"/>
      <c r="F8" s="135" t="s">
        <v>11</v>
      </c>
      <c r="G8" s="136" t="s">
        <v>33</v>
      </c>
      <c r="H8" s="136" t="s">
        <v>10</v>
      </c>
      <c r="I8" s="16" t="s">
        <v>14</v>
      </c>
      <c r="J8" s="16" t="s">
        <v>12</v>
      </c>
      <c r="K8" s="16" t="s">
        <v>7</v>
      </c>
      <c r="L8" s="16" t="s">
        <v>6</v>
      </c>
      <c r="M8" s="16" t="s">
        <v>8</v>
      </c>
      <c r="N8" s="137" t="s">
        <v>9</v>
      </c>
      <c r="O8" s="164"/>
      <c r="P8" s="167"/>
      <c r="R8" s="177"/>
      <c r="S8" s="61" t="s">
        <v>33</v>
      </c>
      <c r="T8" s="60" t="s">
        <v>32</v>
      </c>
    </row>
    <row r="9" spans="1:28" ht="50.1" customHeight="1" thickBot="1" x14ac:dyDescent="0.3">
      <c r="A9" s="172" t="s">
        <v>55</v>
      </c>
      <c r="B9" s="141" t="s">
        <v>56</v>
      </c>
      <c r="C9" s="17" t="s">
        <v>62</v>
      </c>
      <c r="D9" s="63" t="s">
        <v>82</v>
      </c>
      <c r="E9" s="142">
        <v>75000</v>
      </c>
      <c r="F9" s="20">
        <v>1800</v>
      </c>
      <c r="G9" s="64">
        <v>545.00273972602736</v>
      </c>
      <c r="H9" s="65">
        <v>350</v>
      </c>
      <c r="I9" s="18"/>
      <c r="J9" s="18"/>
      <c r="K9" s="19">
        <v>0</v>
      </c>
      <c r="L9" s="20">
        <f t="shared" ref="L9:L15" si="0">E9*K9%</f>
        <v>0</v>
      </c>
      <c r="M9" s="17"/>
      <c r="N9" s="20">
        <f>L9+H9+G9+F9+J9+M9+I9</f>
        <v>2695.0027397260274</v>
      </c>
      <c r="O9" s="143">
        <v>0.1</v>
      </c>
      <c r="P9" s="144">
        <f t="shared" ref="P9:P15" si="1">FLOOR(Q9-(Q9*O9),100)</f>
        <v>65000</v>
      </c>
      <c r="Q9" s="26">
        <f t="shared" ref="Q9:Q15" si="2">E9-N9</f>
        <v>72304.997260273973</v>
      </c>
      <c r="R9" s="36">
        <f>E9-N9-P9</f>
        <v>7304.9972602739726</v>
      </c>
      <c r="S9" s="59">
        <f>P9*13%/365*14</f>
        <v>324.10958904109589</v>
      </c>
      <c r="T9" s="38">
        <v>109200</v>
      </c>
      <c r="U9" s="35">
        <f>P9-T9</f>
        <v>-44200</v>
      </c>
    </row>
    <row r="10" spans="1:28" ht="50.1" customHeight="1" thickBot="1" x14ac:dyDescent="0.3">
      <c r="A10" s="173"/>
      <c r="B10" s="138" t="s">
        <v>72</v>
      </c>
      <c r="C10" s="2" t="s">
        <v>74</v>
      </c>
      <c r="D10" s="63" t="s">
        <v>82</v>
      </c>
      <c r="E10" s="139">
        <v>50000</v>
      </c>
      <c r="F10" s="9">
        <v>1800</v>
      </c>
      <c r="G10" s="23">
        <v>545.00273972602736</v>
      </c>
      <c r="H10" s="14">
        <v>350</v>
      </c>
      <c r="I10" s="7"/>
      <c r="J10" s="7"/>
      <c r="K10" s="8">
        <v>0</v>
      </c>
      <c r="L10" s="9">
        <f t="shared" ref="L10" si="3">E10*K10%</f>
        <v>0</v>
      </c>
      <c r="M10" s="2"/>
      <c r="N10" s="9">
        <f>L10+H10+G10+F10+J10+M10+I10</f>
        <v>2695.0027397260274</v>
      </c>
      <c r="O10" s="140">
        <v>0.1</v>
      </c>
      <c r="P10" s="145">
        <f t="shared" ref="P10" si="4">FLOOR(Q10-(Q10*O10),100)</f>
        <v>42500</v>
      </c>
      <c r="Q10" s="26">
        <f t="shared" ref="Q10" si="5">E10-N10</f>
        <v>47304.997260273973</v>
      </c>
      <c r="R10" s="36">
        <f>E10-N10-P10</f>
        <v>4804.9972602739726</v>
      </c>
      <c r="S10" s="59">
        <f>P10*13%/365*14</f>
        <v>211.91780821917808</v>
      </c>
      <c r="T10" s="38">
        <v>109201</v>
      </c>
      <c r="U10" s="35">
        <f>P10-T10</f>
        <v>-66701</v>
      </c>
    </row>
    <row r="11" spans="1:28" ht="50.1" customHeight="1" thickBot="1" x14ac:dyDescent="0.3">
      <c r="A11" s="173"/>
      <c r="B11" s="138" t="s">
        <v>57</v>
      </c>
      <c r="C11" s="2" t="s">
        <v>73</v>
      </c>
      <c r="D11" s="63" t="s">
        <v>82</v>
      </c>
      <c r="E11" s="139">
        <v>50000</v>
      </c>
      <c r="F11" s="9">
        <v>1800</v>
      </c>
      <c r="G11" s="23">
        <v>498.6301369863013</v>
      </c>
      <c r="H11" s="14">
        <v>350</v>
      </c>
      <c r="I11" s="7"/>
      <c r="J11" s="7"/>
      <c r="K11" s="8">
        <v>0</v>
      </c>
      <c r="L11" s="9">
        <f t="shared" si="0"/>
        <v>0</v>
      </c>
      <c r="M11" s="2"/>
      <c r="N11" s="9">
        <f>L11+H11+G11+F11+J11+M11+I11</f>
        <v>2648.6301369863013</v>
      </c>
      <c r="O11" s="140">
        <v>0.1</v>
      </c>
      <c r="P11" s="145">
        <f t="shared" si="1"/>
        <v>42600</v>
      </c>
      <c r="Q11" s="26">
        <f t="shared" si="2"/>
        <v>47351.369863013701</v>
      </c>
      <c r="R11" s="37">
        <f t="shared" ref="R11:R15" si="6">E11-N11-P11</f>
        <v>4751.3698630137005</v>
      </c>
      <c r="S11" s="59">
        <f t="shared" ref="S11:S15" si="7">P11*13%/365*14</f>
        <v>212.41643835616438</v>
      </c>
      <c r="T11" s="39">
        <v>103700</v>
      </c>
      <c r="U11" s="35">
        <f t="shared" ref="U11:U15" si="8">P11-T11</f>
        <v>-61100</v>
      </c>
    </row>
    <row r="12" spans="1:28" s="6" customFormat="1" ht="50.1" customHeight="1" thickBot="1" x14ac:dyDescent="0.3">
      <c r="A12" s="173"/>
      <c r="B12" s="138" t="s">
        <v>58</v>
      </c>
      <c r="C12" s="2" t="s">
        <v>63</v>
      </c>
      <c r="D12" s="63" t="s">
        <v>82</v>
      </c>
      <c r="E12" s="139">
        <v>40000</v>
      </c>
      <c r="F12" s="9">
        <v>1800</v>
      </c>
      <c r="G12" s="23">
        <v>475.69315068493148</v>
      </c>
      <c r="H12" s="14">
        <v>350</v>
      </c>
      <c r="I12" s="14"/>
      <c r="J12" s="14"/>
      <c r="K12" s="15">
        <v>0</v>
      </c>
      <c r="L12" s="24">
        <f t="shared" si="0"/>
        <v>0</v>
      </c>
      <c r="M12" s="13"/>
      <c r="N12" s="9">
        <f t="shared" ref="N12:N15" si="9">L12+H12+G12+F12+J12+M12+I12</f>
        <v>2625.6931506849314</v>
      </c>
      <c r="O12" s="140">
        <v>0.1</v>
      </c>
      <c r="P12" s="145">
        <f t="shared" si="1"/>
        <v>33600</v>
      </c>
      <c r="Q12" s="27">
        <f t="shared" si="2"/>
        <v>37374.306849315071</v>
      </c>
      <c r="R12" s="37">
        <f t="shared" si="6"/>
        <v>3774.3068493150713</v>
      </c>
      <c r="S12" s="59">
        <f t="shared" si="7"/>
        <v>167.53972602739728</v>
      </c>
      <c r="T12" s="39">
        <v>100000</v>
      </c>
      <c r="U12" s="35">
        <f t="shared" si="8"/>
        <v>-66400</v>
      </c>
    </row>
    <row r="13" spans="1:28" ht="50.1" customHeight="1" thickBot="1" x14ac:dyDescent="0.3">
      <c r="A13" s="173"/>
      <c r="B13" s="138" t="s">
        <v>59</v>
      </c>
      <c r="C13" s="2" t="s">
        <v>64</v>
      </c>
      <c r="D13" s="63" t="s">
        <v>82</v>
      </c>
      <c r="E13" s="139">
        <v>100000</v>
      </c>
      <c r="F13" s="9">
        <v>1800</v>
      </c>
      <c r="G13" s="21">
        <v>400.8986301369863</v>
      </c>
      <c r="H13" s="14">
        <v>350</v>
      </c>
      <c r="I13" s="7"/>
      <c r="J13" s="7"/>
      <c r="K13" s="8">
        <v>0</v>
      </c>
      <c r="L13" s="9">
        <f t="shared" si="0"/>
        <v>0</v>
      </c>
      <c r="M13" s="2"/>
      <c r="N13" s="9">
        <f t="shared" si="9"/>
        <v>2550.8986301369864</v>
      </c>
      <c r="O13" s="140">
        <v>0.1</v>
      </c>
      <c r="P13" s="145">
        <f t="shared" si="1"/>
        <v>87700</v>
      </c>
      <c r="Q13" s="26">
        <f t="shared" si="2"/>
        <v>97449.101369863012</v>
      </c>
      <c r="R13" s="37">
        <f t="shared" si="6"/>
        <v>9749.1013698630122</v>
      </c>
      <c r="S13" s="59">
        <f t="shared" si="7"/>
        <v>437.29863013698628</v>
      </c>
      <c r="T13" s="39">
        <v>72200</v>
      </c>
      <c r="U13" s="35">
        <f t="shared" si="8"/>
        <v>15500</v>
      </c>
    </row>
    <row r="14" spans="1:28" ht="50.1" customHeight="1" thickBot="1" x14ac:dyDescent="0.3">
      <c r="A14" s="173"/>
      <c r="B14" s="138" t="s">
        <v>60</v>
      </c>
      <c r="C14" s="2" t="s">
        <v>65</v>
      </c>
      <c r="D14" s="63" t="s">
        <v>82</v>
      </c>
      <c r="E14" s="139">
        <v>140000</v>
      </c>
      <c r="F14" s="9">
        <v>1800</v>
      </c>
      <c r="G14" s="21">
        <v>400.8986301369863</v>
      </c>
      <c r="H14" s="14">
        <v>350</v>
      </c>
      <c r="I14" s="7"/>
      <c r="J14" s="7"/>
      <c r="K14" s="8">
        <v>0</v>
      </c>
      <c r="L14" s="9">
        <f t="shared" ref="L14" si="10">E14*K14%</f>
        <v>0</v>
      </c>
      <c r="M14" s="2"/>
      <c r="N14" s="9">
        <f t="shared" ref="N14" si="11">L14+H14+G14+F14+J14+M14+I14</f>
        <v>2550.8986301369864</v>
      </c>
      <c r="O14" s="140">
        <v>0.1</v>
      </c>
      <c r="P14" s="145">
        <f t="shared" ref="P14" si="12">FLOOR(Q14-(Q14*O14),100)</f>
        <v>123700</v>
      </c>
      <c r="Q14" s="26">
        <f t="shared" ref="Q14" si="13">E14-N14</f>
        <v>137449.10136986303</v>
      </c>
      <c r="R14" s="37">
        <f t="shared" ref="R14" si="14">E14-N14-P14</f>
        <v>13749.101369863027</v>
      </c>
      <c r="S14" s="59">
        <f t="shared" ref="S14" si="15">P14*13%/365*14</f>
        <v>616.80547945205478</v>
      </c>
      <c r="T14" s="39">
        <v>72201</v>
      </c>
      <c r="U14" s="35">
        <f t="shared" ref="U14" si="16">P14-T14</f>
        <v>51499</v>
      </c>
    </row>
    <row r="15" spans="1:28" ht="50.1" customHeight="1" thickBot="1" x14ac:dyDescent="0.3">
      <c r="A15" s="174"/>
      <c r="B15" s="146" t="s">
        <v>61</v>
      </c>
      <c r="C15" s="3" t="s">
        <v>66</v>
      </c>
      <c r="D15" s="63" t="s">
        <v>82</v>
      </c>
      <c r="E15" s="147">
        <v>40000</v>
      </c>
      <c r="F15" s="10">
        <v>1800</v>
      </c>
      <c r="G15" s="22">
        <v>263.7753424657534</v>
      </c>
      <c r="H15" s="148">
        <v>350</v>
      </c>
      <c r="I15" s="11"/>
      <c r="J15" s="11"/>
      <c r="K15" s="12">
        <v>0</v>
      </c>
      <c r="L15" s="10">
        <f t="shared" si="0"/>
        <v>0</v>
      </c>
      <c r="M15" s="3"/>
      <c r="N15" s="10">
        <f t="shared" si="9"/>
        <v>2413.7753424657535</v>
      </c>
      <c r="O15" s="149">
        <v>0.1</v>
      </c>
      <c r="P15" s="150">
        <f t="shared" si="1"/>
        <v>33800</v>
      </c>
      <c r="Q15" s="26">
        <f t="shared" si="2"/>
        <v>37586.224657534243</v>
      </c>
      <c r="R15" s="37">
        <f t="shared" si="6"/>
        <v>3786.2246575342433</v>
      </c>
      <c r="S15" s="59">
        <f t="shared" si="7"/>
        <v>168.53698630136986</v>
      </c>
      <c r="T15" s="39">
        <v>43500</v>
      </c>
      <c r="U15" s="35">
        <f t="shared" si="8"/>
        <v>-9700</v>
      </c>
    </row>
    <row r="16" spans="1:28" s="151" customFormat="1" ht="99.95" customHeight="1" x14ac:dyDescent="0.35">
      <c r="A16" s="154" t="s">
        <v>79</v>
      </c>
      <c r="B16" s="154"/>
      <c r="C16" s="154"/>
      <c r="P16" s="152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</row>
    <row r="17" spans="1:28" s="151" customFormat="1" ht="99.95" customHeight="1" x14ac:dyDescent="0.35">
      <c r="A17" s="154" t="s">
        <v>80</v>
      </c>
      <c r="B17" s="154"/>
      <c r="P17" s="152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</row>
    <row r="30" spans="1:28" x14ac:dyDescent="0.25">
      <c r="J30">
        <v>90</v>
      </c>
      <c r="K30">
        <v>17000</v>
      </c>
      <c r="L30">
        <f>K30*J30</f>
        <v>1530000</v>
      </c>
    </row>
    <row r="31" spans="1:28" x14ac:dyDescent="0.25">
      <c r="E31">
        <v>17000</v>
      </c>
      <c r="F31">
        <f>E31*90%</f>
        <v>15300</v>
      </c>
      <c r="J31">
        <v>10</v>
      </c>
      <c r="K31">
        <v>15100</v>
      </c>
      <c r="L31">
        <f>K31*J31</f>
        <v>151000</v>
      </c>
    </row>
    <row r="32" spans="1:28" x14ac:dyDescent="0.25">
      <c r="E32">
        <v>15100</v>
      </c>
      <c r="F32">
        <f>E32*10%</f>
        <v>1510</v>
      </c>
      <c r="L32">
        <f>SUM(L30:L31)</f>
        <v>1681000</v>
      </c>
    </row>
    <row r="33" spans="5:12" x14ac:dyDescent="0.25">
      <c r="F33">
        <f>SUM(F31:F32)</f>
        <v>16810</v>
      </c>
      <c r="L33">
        <f>L32/100</f>
        <v>16810</v>
      </c>
    </row>
    <row r="34" spans="5:12" x14ac:dyDescent="0.25">
      <c r="E34">
        <v>12000</v>
      </c>
      <c r="F34">
        <f>E34*90%</f>
        <v>10800</v>
      </c>
    </row>
    <row r="35" spans="5:12" x14ac:dyDescent="0.25">
      <c r="E35">
        <v>10300</v>
      </c>
      <c r="F35">
        <f>E35*10%</f>
        <v>1030</v>
      </c>
    </row>
  </sheetData>
  <mergeCells count="13">
    <mergeCell ref="P7:P8"/>
    <mergeCell ref="A7:B8"/>
    <mergeCell ref="A9:A15"/>
    <mergeCell ref="P3:R3"/>
    <mergeCell ref="P5:R5"/>
    <mergeCell ref="R7:R8"/>
    <mergeCell ref="A1:O1"/>
    <mergeCell ref="C7:C8"/>
    <mergeCell ref="D7:D8"/>
    <mergeCell ref="E7:E8"/>
    <mergeCell ref="F7:N7"/>
    <mergeCell ref="O7:O8"/>
    <mergeCell ref="A5:N5"/>
  </mergeCells>
  <pageMargins left="0.39370078740157483" right="0.39370078740157483" top="0.39370078740157483" bottom="0.39370078740157483" header="0" footer="0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6:J34"/>
  <sheetViews>
    <sheetView tabSelected="1" view="pageBreakPreview" zoomScale="55" zoomScaleNormal="55" zoomScaleSheetLayoutView="55" workbookViewId="0">
      <selection activeCell="G1" sqref="G1:G1048576"/>
    </sheetView>
  </sheetViews>
  <sheetFormatPr defaultRowHeight="15.75" x14ac:dyDescent="0.25"/>
  <cols>
    <col min="1" max="1" width="39.75" style="42" customWidth="1"/>
    <col min="2" max="2" width="20.625" style="42" customWidth="1"/>
    <col min="3" max="3" width="100.625" style="42" customWidth="1"/>
    <col min="4" max="5" width="30.625" style="42" customWidth="1"/>
    <col min="7" max="7" width="0" hidden="1" customWidth="1"/>
  </cols>
  <sheetData>
    <row r="6" spans="1:7" ht="30" customHeight="1" x14ac:dyDescent="0.25">
      <c r="D6" s="195" t="s">
        <v>19</v>
      </c>
      <c r="E6" s="195"/>
    </row>
    <row r="7" spans="1:7" ht="30" customHeight="1" x14ac:dyDescent="0.25">
      <c r="D7" s="195" t="s">
        <v>20</v>
      </c>
      <c r="E7" s="195"/>
    </row>
    <row r="8" spans="1:7" ht="30" customHeight="1" x14ac:dyDescent="0.45">
      <c r="D8" s="43"/>
      <c r="E8" s="43"/>
    </row>
    <row r="9" spans="1:7" ht="30" customHeight="1" x14ac:dyDescent="0.25">
      <c r="D9" s="195" t="s">
        <v>76</v>
      </c>
      <c r="E9" s="195"/>
    </row>
    <row r="10" spans="1:7" ht="35.1" customHeight="1" x14ac:dyDescent="0.4">
      <c r="D10" s="44"/>
      <c r="E10" s="44"/>
    </row>
    <row r="11" spans="1:7" s="45" customFormat="1" ht="39.950000000000003" customHeight="1" x14ac:dyDescent="0.55000000000000004">
      <c r="A11" s="196" t="s">
        <v>75</v>
      </c>
      <c r="B11" s="196"/>
      <c r="C11" s="196"/>
      <c r="D11" s="196"/>
      <c r="E11" s="196"/>
    </row>
    <row r="12" spans="1:7" s="45" customFormat="1" ht="39.950000000000003" customHeight="1" x14ac:dyDescent="0.55000000000000004">
      <c r="A12" s="196" t="s">
        <v>21</v>
      </c>
      <c r="B12" s="196"/>
      <c r="C12" s="196"/>
      <c r="D12" s="196"/>
      <c r="E12" s="196"/>
    </row>
    <row r="13" spans="1:7" s="1" customFormat="1" ht="39.950000000000003" customHeight="1" thickBot="1" x14ac:dyDescent="0.3">
      <c r="A13" s="46"/>
      <c r="B13" s="46"/>
      <c r="C13" s="46"/>
      <c r="D13" s="46"/>
      <c r="E13" s="57" t="s">
        <v>83</v>
      </c>
    </row>
    <row r="14" spans="1:7" ht="110.1" customHeight="1" x14ac:dyDescent="0.25">
      <c r="A14" s="181" t="s">
        <v>38</v>
      </c>
      <c r="B14" s="191" t="s">
        <v>22</v>
      </c>
      <c r="C14" s="192"/>
      <c r="D14" s="178" t="s">
        <v>34</v>
      </c>
      <c r="E14" s="179"/>
    </row>
    <row r="15" spans="1:7" ht="69.95" customHeight="1" thickBot="1" x14ac:dyDescent="0.3">
      <c r="A15" s="182"/>
      <c r="B15" s="193"/>
      <c r="C15" s="194"/>
      <c r="D15" s="118" t="s">
        <v>23</v>
      </c>
      <c r="E15" s="114" t="s">
        <v>24</v>
      </c>
    </row>
    <row r="16" spans="1:7" ht="69.95" customHeight="1" x14ac:dyDescent="0.25">
      <c r="A16" s="115" t="s">
        <v>56</v>
      </c>
      <c r="B16" s="185" t="str">
        <f>'Расчет Уфа'!C9</f>
        <v>Легированный кусковой лом нерж.стали с содержанием никеля 9,3-11,9% и хрома от 16,9%.</v>
      </c>
      <c r="C16" s="186"/>
      <c r="D16" s="119">
        <f>'Расчет Уфа'!P9+500</f>
        <v>65500</v>
      </c>
      <c r="E16" s="120">
        <f>FLOOR(D16-3%*D16,1000)</f>
        <v>63000</v>
      </c>
      <c r="G16" s="35">
        <f>D16-E16</f>
        <v>2500</v>
      </c>
    </row>
    <row r="17" spans="1:10" ht="69.95" customHeight="1" x14ac:dyDescent="0.25">
      <c r="A17" s="115" t="s">
        <v>72</v>
      </c>
      <c r="B17" s="185" t="str">
        <f>'Расчет Уфа'!C10</f>
        <v>Легированный кусковой лом нерж.стали с содержанием никеля 8,8-9,2% и хрома от 16,9%.</v>
      </c>
      <c r="C17" s="186"/>
      <c r="D17" s="119">
        <f>'Расчет Уфа'!P10+500</f>
        <v>43000</v>
      </c>
      <c r="E17" s="120">
        <f t="shared" ref="E17:E22" si="0">FLOOR(D17-3%*D17,1000)</f>
        <v>41000</v>
      </c>
      <c r="G17" s="35"/>
    </row>
    <row r="18" spans="1:10" ht="69.95" customHeight="1" x14ac:dyDescent="0.25">
      <c r="A18" s="116" t="s">
        <v>57</v>
      </c>
      <c r="B18" s="187" t="str">
        <f>'Расчет Уфа'!C11</f>
        <v>Легированный кусковой лом нерж.стали с содержанием никеля 8,0-8,7% и хрома от 16,9%.</v>
      </c>
      <c r="C18" s="188"/>
      <c r="D18" s="121">
        <f>'Расчет Уфа'!P11+400</f>
        <v>43000</v>
      </c>
      <c r="E18" s="120">
        <f t="shared" si="0"/>
        <v>41000</v>
      </c>
      <c r="G18" s="35">
        <f t="shared" ref="G18:G23" si="1">D18-E18</f>
        <v>2000</v>
      </c>
    </row>
    <row r="19" spans="1:10" ht="69.95" customHeight="1" thickBot="1" x14ac:dyDescent="0.3">
      <c r="A19" s="116" t="s">
        <v>58</v>
      </c>
      <c r="B19" s="187" t="str">
        <f>'Расчет Уфа'!C12</f>
        <v>Легированный кусковой лом нерж.стали с содержанием никеля 4,5-7,4% и хрома от 16,9%.</v>
      </c>
      <c r="C19" s="188"/>
      <c r="D19" s="121">
        <f>'Расчет Уфа'!P12+400</f>
        <v>34000</v>
      </c>
      <c r="E19" s="120">
        <f t="shared" si="0"/>
        <v>32000</v>
      </c>
      <c r="G19" s="35">
        <f t="shared" si="1"/>
        <v>2000</v>
      </c>
    </row>
    <row r="20" spans="1:10" ht="69.95" customHeight="1" thickBot="1" x14ac:dyDescent="0.3">
      <c r="A20" s="116" t="s">
        <v>59</v>
      </c>
      <c r="B20" s="187" t="str">
        <f>'Расчет Уфа'!C13</f>
        <v>Легированный кусковой лом нерж.стали с содержанием никеля 11,9-13,8% , хрома от 16,9% и молибдена 1,9-3,8%.</v>
      </c>
      <c r="C20" s="188"/>
      <c r="D20" s="121">
        <f>'Расчет Уфа'!P13+300</f>
        <v>88000</v>
      </c>
      <c r="E20" s="120">
        <f t="shared" si="0"/>
        <v>85000</v>
      </c>
      <c r="G20" s="35">
        <f t="shared" si="1"/>
        <v>3000</v>
      </c>
      <c r="J20" s="50"/>
    </row>
    <row r="21" spans="1:10" ht="69.95" customHeight="1" x14ac:dyDescent="0.25">
      <c r="A21" s="116" t="s">
        <v>60</v>
      </c>
      <c r="B21" s="187" t="str">
        <f>'Расчет Уфа'!C14</f>
        <v>Легированный кусковой лом нерж.стали с содерж.никеля от 17,9 -18,9% и хрома от 21,9%.</v>
      </c>
      <c r="C21" s="188"/>
      <c r="D21" s="121">
        <f>'Расчет Уфа'!P14+300</f>
        <v>124000</v>
      </c>
      <c r="E21" s="120">
        <f t="shared" si="0"/>
        <v>120000</v>
      </c>
      <c r="G21" s="35"/>
      <c r="J21" s="113"/>
    </row>
    <row r="22" spans="1:10" ht="69.95" customHeight="1" thickBot="1" x14ac:dyDescent="0.3">
      <c r="A22" s="117" t="s">
        <v>61</v>
      </c>
      <c r="B22" s="189" t="str">
        <f>'Расчет Уфа'!C15</f>
        <v>Стружка (Ni 9,3-11,9%, Cr 18% )</v>
      </c>
      <c r="C22" s="190"/>
      <c r="D22" s="122">
        <f>'Расчет Уфа'!P15-800</f>
        <v>33000</v>
      </c>
      <c r="E22" s="120">
        <f t="shared" si="0"/>
        <v>32000</v>
      </c>
      <c r="G22" s="35">
        <f t="shared" si="1"/>
        <v>1000</v>
      </c>
    </row>
    <row r="23" spans="1:10" ht="54.95" hidden="1" customHeight="1" thickBot="1" x14ac:dyDescent="0.3">
      <c r="A23" s="183" t="e">
        <f>'Расчет Уфа'!#REF!</f>
        <v>#REF!</v>
      </c>
      <c r="B23" s="184"/>
      <c r="C23" s="74" t="e">
        <f>'Расчет Уфа'!#REF!</f>
        <v>#REF!</v>
      </c>
      <c r="D23" s="75" t="e">
        <f>'Расчет Уфа'!#REF!</f>
        <v>#REF!</v>
      </c>
      <c r="E23" s="76" t="e">
        <f>FLOOR(D23-8%*D23,100)-200</f>
        <v>#REF!</v>
      </c>
      <c r="G23" s="35" t="e">
        <f t="shared" si="1"/>
        <v>#REF!</v>
      </c>
    </row>
    <row r="24" spans="1:10" ht="54.95" customHeight="1" x14ac:dyDescent="0.25">
      <c r="A24" s="131"/>
      <c r="B24" s="131"/>
      <c r="C24" s="132"/>
      <c r="D24" s="133"/>
      <c r="E24" s="134"/>
      <c r="G24" s="35"/>
    </row>
    <row r="25" spans="1:10" ht="54.95" customHeight="1" x14ac:dyDescent="0.25">
      <c r="A25" s="131"/>
      <c r="B25" s="131"/>
      <c r="C25" s="132"/>
      <c r="D25" s="133"/>
      <c r="E25" s="134"/>
      <c r="G25" s="35"/>
    </row>
    <row r="26" spans="1:10" ht="54.95" customHeight="1" x14ac:dyDescent="0.25">
      <c r="A26" s="131"/>
      <c r="B26" s="131"/>
      <c r="C26" s="132"/>
      <c r="D26" s="133"/>
      <c r="E26" s="134"/>
      <c r="G26" s="35"/>
    </row>
    <row r="27" spans="1:10" s="123" customFormat="1" ht="50.1" customHeight="1" x14ac:dyDescent="0.25">
      <c r="A27" s="126" t="s">
        <v>81</v>
      </c>
      <c r="B27" s="127"/>
      <c r="C27" s="128"/>
      <c r="D27" s="129"/>
      <c r="E27" s="130"/>
      <c r="F27" s="124"/>
    </row>
    <row r="28" spans="1:10" s="123" customFormat="1" ht="50.1" customHeight="1" x14ac:dyDescent="0.25">
      <c r="A28" s="126" t="s">
        <v>67</v>
      </c>
      <c r="B28" s="126"/>
      <c r="C28" s="126"/>
      <c r="D28" s="126"/>
      <c r="E28" s="126"/>
    </row>
    <row r="29" spans="1:10" s="123" customFormat="1" ht="50.1" customHeight="1" x14ac:dyDescent="0.25">
      <c r="A29" s="180" t="s">
        <v>68</v>
      </c>
      <c r="B29" s="180"/>
      <c r="C29" s="180"/>
      <c r="D29" s="180"/>
      <c r="E29" s="180"/>
    </row>
    <row r="30" spans="1:10" s="123" customFormat="1" ht="50.1" customHeight="1" x14ac:dyDescent="0.25">
      <c r="A30" s="180" t="s">
        <v>69</v>
      </c>
      <c r="B30" s="180"/>
      <c r="C30" s="180"/>
      <c r="D30" s="180"/>
      <c r="E30" s="180"/>
    </row>
    <row r="31" spans="1:10" s="123" customFormat="1" ht="50.1" customHeight="1" x14ac:dyDescent="0.25">
      <c r="A31" s="199" t="s">
        <v>70</v>
      </c>
      <c r="B31" s="199"/>
      <c r="C31" s="199"/>
      <c r="D31" s="199"/>
      <c r="E31" s="199"/>
    </row>
    <row r="32" spans="1:10" s="123" customFormat="1" ht="50.1" customHeight="1" x14ac:dyDescent="0.25">
      <c r="A32" s="199" t="s">
        <v>71</v>
      </c>
      <c r="B32" s="199"/>
      <c r="C32" s="199"/>
      <c r="D32" s="199"/>
      <c r="E32" s="199"/>
    </row>
    <row r="33" spans="1:5" s="123" customFormat="1" ht="50.1" customHeight="1" x14ac:dyDescent="0.25">
      <c r="A33" s="197" t="s">
        <v>28</v>
      </c>
      <c r="B33" s="197"/>
      <c r="C33" s="197"/>
      <c r="D33" s="197"/>
      <c r="E33" s="197"/>
    </row>
    <row r="34" spans="1:5" s="125" customFormat="1" ht="32.25" customHeight="1" x14ac:dyDescent="0.25">
      <c r="A34" s="198" t="s">
        <v>29</v>
      </c>
      <c r="B34" s="198"/>
      <c r="C34" s="198"/>
      <c r="D34" s="198"/>
      <c r="E34" s="198"/>
    </row>
  </sheetData>
  <mergeCells count="22">
    <mergeCell ref="A33:E33"/>
    <mergeCell ref="A34:E34"/>
    <mergeCell ref="A31:E31"/>
    <mergeCell ref="A32:E32"/>
    <mergeCell ref="A30:E30"/>
    <mergeCell ref="D6:E6"/>
    <mergeCell ref="D7:E7"/>
    <mergeCell ref="D9:E9"/>
    <mergeCell ref="A11:E11"/>
    <mergeCell ref="A12:E12"/>
    <mergeCell ref="D14:E14"/>
    <mergeCell ref="A29:E29"/>
    <mergeCell ref="A14:A15"/>
    <mergeCell ref="A23:B23"/>
    <mergeCell ref="B17:C17"/>
    <mergeCell ref="B21:C21"/>
    <mergeCell ref="B22:C22"/>
    <mergeCell ref="B14:C15"/>
    <mergeCell ref="B16:C16"/>
    <mergeCell ref="B18:C18"/>
    <mergeCell ref="B19:C19"/>
    <mergeCell ref="B20:C20"/>
  </mergeCells>
  <hyperlinks>
    <hyperlink ref="A34" r:id="rId1"/>
  </hyperlinks>
  <pageMargins left="0.59055118110236227" right="0.59055118110236227" top="0.19685039370078741" bottom="0.19685039370078741" header="0" footer="0"/>
  <pageSetup paperSize="9" scale="37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J44"/>
  <sheetViews>
    <sheetView view="pageBreakPreview" topLeftCell="A19" zoomScale="60" zoomScaleNormal="55" workbookViewId="0">
      <selection activeCell="G13" sqref="G13"/>
    </sheetView>
  </sheetViews>
  <sheetFormatPr defaultRowHeight="15.75" x14ac:dyDescent="0.25"/>
  <cols>
    <col min="1" max="1" width="32.625" style="42" customWidth="1"/>
    <col min="2" max="2" width="25.75" style="77" hidden="1" customWidth="1"/>
    <col min="3" max="3" width="100.625" style="42" customWidth="1"/>
    <col min="4" max="5" width="30.625" style="42" customWidth="1"/>
    <col min="6" max="6" width="18.75" style="42" customWidth="1"/>
    <col min="7" max="7" width="30.625" style="97" customWidth="1"/>
  </cols>
  <sheetData>
    <row r="2" spans="1:10" ht="30" customHeight="1" x14ac:dyDescent="0.25">
      <c r="D2" s="195" t="s">
        <v>19</v>
      </c>
      <c r="E2" s="195"/>
      <c r="F2" s="195"/>
    </row>
    <row r="3" spans="1:10" ht="30" customHeight="1" x14ac:dyDescent="0.25">
      <c r="D3" s="195" t="s">
        <v>20</v>
      </c>
      <c r="E3" s="195"/>
      <c r="F3" s="195"/>
    </row>
    <row r="4" spans="1:10" ht="30" customHeight="1" x14ac:dyDescent="0.45">
      <c r="D4" s="43"/>
      <c r="E4" s="43"/>
      <c r="F4" s="43"/>
    </row>
    <row r="5" spans="1:10" ht="30" customHeight="1" x14ac:dyDescent="0.25">
      <c r="D5" s="195" t="s">
        <v>30</v>
      </c>
      <c r="E5" s="195"/>
      <c r="F5" s="195"/>
    </row>
    <row r="6" spans="1:10" ht="26.25" x14ac:dyDescent="0.4">
      <c r="D6" s="44"/>
      <c r="E6" s="44"/>
      <c r="F6" s="44"/>
    </row>
    <row r="7" spans="1:10" s="45" customFormat="1" ht="39.950000000000003" customHeight="1" x14ac:dyDescent="0.55000000000000004">
      <c r="A7" s="196" t="s">
        <v>39</v>
      </c>
      <c r="B7" s="196"/>
      <c r="C7" s="196"/>
      <c r="D7" s="196"/>
      <c r="E7" s="196"/>
      <c r="F7" s="196"/>
      <c r="G7" s="98"/>
    </row>
    <row r="8" spans="1:10" s="45" customFormat="1" ht="39.950000000000003" customHeight="1" x14ac:dyDescent="0.55000000000000004">
      <c r="A8" s="196" t="s">
        <v>31</v>
      </c>
      <c r="B8" s="196"/>
      <c r="C8" s="196"/>
      <c r="D8" s="196"/>
      <c r="E8" s="196"/>
      <c r="F8" s="196"/>
      <c r="G8" s="98"/>
    </row>
    <row r="9" spans="1:10" s="1" customFormat="1" ht="39.950000000000003" customHeight="1" thickBot="1" x14ac:dyDescent="0.3">
      <c r="A9" s="46"/>
      <c r="B9" s="78"/>
      <c r="C9" s="46"/>
      <c r="D9" s="46"/>
      <c r="E9" s="216" t="str">
        <f>'Прайс Уфа'!E13</f>
        <v>от 20.09.2022 г.</v>
      </c>
      <c r="F9" s="216"/>
    </row>
    <row r="10" spans="1:10" ht="110.1" customHeight="1" thickBot="1" x14ac:dyDescent="0.3">
      <c r="A10" s="181" t="s">
        <v>37</v>
      </c>
      <c r="B10" s="221" t="s">
        <v>38</v>
      </c>
      <c r="C10" s="210" t="s">
        <v>22</v>
      </c>
      <c r="D10" s="212" t="s">
        <v>78</v>
      </c>
      <c r="E10" s="213"/>
      <c r="F10" s="214"/>
      <c r="G10" s="95"/>
    </row>
    <row r="11" spans="1:10" ht="69.95" customHeight="1" thickBot="1" x14ac:dyDescent="0.3">
      <c r="A11" s="182"/>
      <c r="B11" s="222"/>
      <c r="C11" s="211"/>
      <c r="D11" s="217" t="s">
        <v>54</v>
      </c>
      <c r="E11" s="213"/>
      <c r="F11" s="218"/>
      <c r="G11"/>
    </row>
    <row r="12" spans="1:10" ht="54.95" hidden="1" customHeight="1" x14ac:dyDescent="0.25">
      <c r="A12" s="92" t="s">
        <v>35</v>
      </c>
      <c r="B12" s="79" t="str">
        <f>'Расчет Уфа'!B9</f>
        <v>3Б26(10)</v>
      </c>
      <c r="C12" s="66" t="str">
        <f>'Расчет Уфа'!C9</f>
        <v>Легированный кусковой лом нерж.стали с содержанием никеля 9,3-11,9% и хрома от 16,9%.</v>
      </c>
      <c r="D12" s="107"/>
      <c r="E12" s="108">
        <f>'Прайс Уфа'!E16</f>
        <v>63000</v>
      </c>
      <c r="F12"/>
      <c r="G12" s="35"/>
    </row>
    <row r="13" spans="1:10" ht="120" customHeight="1" thickBot="1" x14ac:dyDescent="0.3">
      <c r="A13" s="83" t="s">
        <v>47</v>
      </c>
      <c r="C13" s="47" t="s">
        <v>52</v>
      </c>
      <c r="D13" s="200">
        <v>87500</v>
      </c>
      <c r="E13" s="201"/>
      <c r="F13" s="202"/>
      <c r="G13" s="35"/>
    </row>
    <row r="14" spans="1:10" ht="50.1" hidden="1" customHeight="1" x14ac:dyDescent="0.25">
      <c r="A14" s="93"/>
      <c r="B14" s="80" t="e">
        <f>'Расчет Уфа'!#REF!</f>
        <v>#REF!</v>
      </c>
      <c r="C14" s="47" t="e">
        <f>'Расчет Уфа'!#REF!</f>
        <v>#REF!</v>
      </c>
      <c r="D14" s="103"/>
      <c r="E14" s="109" t="e">
        <f>FLOOR(#REF!-#REF!*0.07,100)</f>
        <v>#REF!</v>
      </c>
      <c r="F14" s="110"/>
      <c r="G14" s="35"/>
    </row>
    <row r="15" spans="1:10" ht="80.099999999999994" hidden="1" customHeight="1" thickBot="1" x14ac:dyDescent="0.3">
      <c r="A15" s="93"/>
      <c r="B15" s="80" t="str">
        <f>'Расчет Уфа'!B12</f>
        <v>3Б27</v>
      </c>
      <c r="C15" s="47" t="str">
        <f>'Расчет Уфа'!C12</f>
        <v>Легированный кусковой лом нерж.стали с содержанием никеля 4,5-7,4% и хрома от 16,9%.</v>
      </c>
      <c r="D15" s="102"/>
      <c r="E15" s="111" t="e">
        <f>FLOOR(#REF!-#REF!*0.07,100)</f>
        <v>#REF!</v>
      </c>
      <c r="F15" s="110"/>
      <c r="G15" s="35"/>
    </row>
    <row r="16" spans="1:10" ht="120" customHeight="1" thickBot="1" x14ac:dyDescent="0.3">
      <c r="A16" s="83" t="s">
        <v>48</v>
      </c>
      <c r="C16" s="47" t="str">
        <f>'Расчет Уфа'!C13</f>
        <v>Легированный кусковой лом нерж.стали с содержанием никеля 11,9-13,8% , хрома от 16,9% и молибдена 1,9-3,8%.</v>
      </c>
      <c r="D16" s="200">
        <v>65500</v>
      </c>
      <c r="E16" s="201"/>
      <c r="F16" s="202"/>
      <c r="G16" s="35"/>
      <c r="J16" s="50"/>
    </row>
    <row r="17" spans="1:10" ht="60" hidden="1" customHeight="1" thickBot="1" x14ac:dyDescent="0.3">
      <c r="A17" s="94"/>
      <c r="B17" s="81" t="str">
        <f>'Расчет Уфа'!B15</f>
        <v>16Б26(10)</v>
      </c>
      <c r="C17" s="67" t="str">
        <f>'Расчет Уфа'!C15</f>
        <v>Стружка (Ni 9,3-11,9%, Cr 18% )</v>
      </c>
      <c r="D17" s="107"/>
      <c r="E17" s="109" t="e">
        <f>FLOOR(#REF!-#REF!*0.07,100)</f>
        <v>#REF!</v>
      </c>
      <c r="F17" s="110"/>
      <c r="G17" s="35"/>
    </row>
    <row r="18" spans="1:10" ht="129.94999999999999" hidden="1" customHeight="1" x14ac:dyDescent="0.25">
      <c r="A18" s="215" t="s">
        <v>40</v>
      </c>
      <c r="B18" s="82" t="e">
        <f>'Расчет Уфа'!#REF!</f>
        <v>#REF!</v>
      </c>
      <c r="C18" s="66" t="e">
        <f>'Расчет Уфа'!#REF!</f>
        <v>#REF!</v>
      </c>
      <c r="D18" s="107"/>
      <c r="E18" s="111" t="e">
        <f>FLOOR(#REF!-#REF!*0.07,100)</f>
        <v>#REF!</v>
      </c>
      <c r="F18" s="110"/>
      <c r="G18" s="35"/>
    </row>
    <row r="19" spans="1:10" ht="69.95" customHeight="1" thickBot="1" x14ac:dyDescent="0.3">
      <c r="A19" s="203"/>
      <c r="B19" s="83" t="e">
        <f>'Расчет Уфа'!#REF!</f>
        <v>#REF!</v>
      </c>
      <c r="C19" s="47" t="s">
        <v>53</v>
      </c>
      <c r="D19" s="200">
        <v>346000</v>
      </c>
      <c r="E19" s="201"/>
      <c r="F19" s="202"/>
      <c r="G19" s="35"/>
    </row>
    <row r="20" spans="1:10" ht="60" hidden="1" customHeight="1" thickBot="1" x14ac:dyDescent="0.3">
      <c r="A20" s="204"/>
      <c r="B20" s="84" t="e">
        <f>'Расчет Уфа'!#REF!</f>
        <v>#REF!</v>
      </c>
      <c r="C20" s="67" t="e">
        <f>'Расчет Уфа'!#REF!</f>
        <v>#REF!</v>
      </c>
      <c r="D20" s="107"/>
      <c r="E20" s="109" t="e">
        <f>FLOOR(#REF!-#REF!*0.07,100)</f>
        <v>#REF!</v>
      </c>
      <c r="F20" s="110"/>
      <c r="G20" s="35"/>
      <c r="J20" s="50"/>
    </row>
    <row r="21" spans="1:10" ht="50.1" hidden="1" customHeight="1" thickBot="1" x14ac:dyDescent="0.3">
      <c r="A21" s="215" t="s">
        <v>41</v>
      </c>
      <c r="B21" s="82" t="e">
        <f>'Расчет Уфа'!#REF!</f>
        <v>#REF!</v>
      </c>
      <c r="C21" s="66" t="e">
        <f>'Расчет Уфа'!#REF!</f>
        <v>#REF!</v>
      </c>
      <c r="D21" s="103"/>
      <c r="E21" s="112" t="e">
        <f>FLOOR(#REF!-#REF!*0.07,100)</f>
        <v>#REF!</v>
      </c>
      <c r="F21" s="110"/>
      <c r="G21" s="35"/>
    </row>
    <row r="22" spans="1:10" ht="50.1" hidden="1" customHeight="1" thickBot="1" x14ac:dyDescent="0.3">
      <c r="A22" s="204"/>
      <c r="B22" s="85" t="e">
        <f>'Расчет Уфа'!#REF!</f>
        <v>#REF!</v>
      </c>
      <c r="C22" s="67" t="e">
        <f>'Расчет Уфа'!#REF!</f>
        <v>#REF!</v>
      </c>
      <c r="D22" s="107"/>
      <c r="E22" s="111" t="e">
        <f>FLOOR(#REF!-#REF!*0.07,100)</f>
        <v>#REF!</v>
      </c>
      <c r="F22" s="110"/>
      <c r="G22" s="35"/>
    </row>
    <row r="23" spans="1:10" ht="69.95" customHeight="1" thickBot="1" x14ac:dyDescent="0.3">
      <c r="A23" s="219" t="s">
        <v>49</v>
      </c>
      <c r="B23" s="86" t="s">
        <v>46</v>
      </c>
      <c r="C23" s="66" t="e">
        <f>'Расчет Уфа'!#REF!</f>
        <v>#REF!</v>
      </c>
      <c r="D23" s="200">
        <v>205500</v>
      </c>
      <c r="E23" s="201"/>
      <c r="F23" s="202"/>
      <c r="G23" s="35"/>
    </row>
    <row r="24" spans="1:10" ht="54.95" hidden="1" customHeight="1" thickBot="1" x14ac:dyDescent="0.3">
      <c r="A24" s="220"/>
      <c r="B24" s="85" t="e">
        <f>'Расчет Уфа'!#REF!</f>
        <v>#REF!</v>
      </c>
      <c r="C24" s="67" t="e">
        <f>'Расчет Уфа'!#REF!</f>
        <v>#REF!</v>
      </c>
      <c r="D24" s="107"/>
      <c r="E24" s="109" t="e">
        <f>FLOOR(#REF!-#REF!*0.07,100)</f>
        <v>#REF!</v>
      </c>
      <c r="F24" s="110"/>
      <c r="G24" s="35"/>
    </row>
    <row r="25" spans="1:10" ht="54.95" hidden="1" customHeight="1" x14ac:dyDescent="0.25">
      <c r="A25" s="215" t="s">
        <v>42</v>
      </c>
      <c r="B25" s="82" t="e">
        <f>'Расчет Уфа'!#REF!</f>
        <v>#REF!</v>
      </c>
      <c r="C25" s="66" t="e">
        <f>'Расчет Уфа'!#REF!</f>
        <v>#REF!</v>
      </c>
      <c r="D25" s="103"/>
      <c r="E25" s="112" t="e">
        <f>FLOOR(#REF!-#REF!*0.07,100)</f>
        <v>#REF!</v>
      </c>
      <c r="F25" s="110"/>
      <c r="G25" s="35"/>
    </row>
    <row r="26" spans="1:10" ht="54.95" hidden="1" customHeight="1" thickBot="1" x14ac:dyDescent="0.3">
      <c r="A26" s="203"/>
      <c r="B26" s="83" t="e">
        <f>'Расчет Уфа'!#REF!</f>
        <v>#REF!</v>
      </c>
      <c r="C26" s="47" t="e">
        <f>'Расчет Уфа'!#REF!</f>
        <v>#REF!</v>
      </c>
      <c r="D26" s="102"/>
      <c r="E26" s="112" t="e">
        <f>FLOOR(#REF!-#REF!*0.07,100)</f>
        <v>#REF!</v>
      </c>
      <c r="F26" s="110"/>
      <c r="G26" s="35"/>
    </row>
    <row r="27" spans="1:10" ht="50.1" hidden="1" customHeight="1" thickBot="1" x14ac:dyDescent="0.3">
      <c r="A27" s="204"/>
      <c r="B27" s="84" t="e">
        <f>'Расчет Уфа'!#REF!</f>
        <v>#REF!</v>
      </c>
      <c r="C27" s="67" t="e">
        <f>'Расчет Уфа'!#REF!</f>
        <v>#REF!</v>
      </c>
      <c r="D27" s="107"/>
      <c r="E27" s="111" t="e">
        <f>FLOOR(#REF!-#REF!*0.07,100)</f>
        <v>#REF!</v>
      </c>
      <c r="F27" s="110"/>
      <c r="G27" s="35"/>
    </row>
    <row r="28" spans="1:10" ht="60" customHeight="1" thickBot="1" x14ac:dyDescent="0.3">
      <c r="A28" s="91" t="s">
        <v>43</v>
      </c>
      <c r="B28" s="82" t="s">
        <v>36</v>
      </c>
      <c r="C28" s="66" t="s">
        <v>51</v>
      </c>
      <c r="D28" s="200">
        <v>84000</v>
      </c>
      <c r="E28" s="201"/>
      <c r="F28" s="202"/>
      <c r="G28" s="35"/>
    </row>
    <row r="29" spans="1:10" ht="80.099999999999994" customHeight="1" thickBot="1" x14ac:dyDescent="0.3">
      <c r="A29" s="203" t="s">
        <v>50</v>
      </c>
      <c r="B29" s="83" t="e">
        <f>'Расчет Уфа'!#REF!</f>
        <v>#REF!</v>
      </c>
      <c r="C29" s="47" t="e">
        <f>'Расчет Уфа'!#REF!</f>
        <v>#REF!</v>
      </c>
      <c r="D29" s="200">
        <v>47000</v>
      </c>
      <c r="E29" s="201"/>
      <c r="F29" s="202"/>
      <c r="G29" s="35"/>
    </row>
    <row r="30" spans="1:10" ht="80.099999999999994" customHeight="1" thickBot="1" x14ac:dyDescent="0.3">
      <c r="A30" s="204"/>
      <c r="B30" s="84" t="e">
        <f>'Расчет Уфа'!#REF!</f>
        <v>#REF!</v>
      </c>
      <c r="C30" s="67" t="e">
        <f>'Расчет Уфа'!#REF!</f>
        <v>#REF!</v>
      </c>
      <c r="D30" s="200">
        <v>41000</v>
      </c>
      <c r="E30" s="201"/>
      <c r="F30" s="202"/>
      <c r="G30" s="35"/>
    </row>
    <row r="31" spans="1:10" ht="80.099999999999994" hidden="1" customHeight="1" x14ac:dyDescent="0.25">
      <c r="A31" s="205" t="s">
        <v>44</v>
      </c>
      <c r="B31" s="82" t="e">
        <f>'Расчет Уфа'!#REF!</f>
        <v>#REF!</v>
      </c>
      <c r="C31" s="66" t="e">
        <f>'Расчет Уфа'!#REF!</f>
        <v>#REF!</v>
      </c>
      <c r="D31" s="51" t="e">
        <f>'Прайс Уфа'!#REF!</f>
        <v>#REF!</v>
      </c>
      <c r="E31" s="100"/>
      <c r="F31" s="58" t="e">
        <f>'Прайс Уфа'!#REF!</f>
        <v>#REF!</v>
      </c>
      <c r="I31" s="35"/>
    </row>
    <row r="32" spans="1:10" ht="80.099999999999994" hidden="1" customHeight="1" x14ac:dyDescent="0.25">
      <c r="A32" s="206"/>
      <c r="B32" s="83" t="e">
        <f>'Расчет Уфа'!#REF!</f>
        <v>#REF!</v>
      </c>
      <c r="C32" s="47" t="e">
        <f>'Расчет Уфа'!#REF!</f>
        <v>#REF!</v>
      </c>
      <c r="D32" s="48" t="e">
        <f>'Прайс Уфа'!#REF!</f>
        <v>#REF!</v>
      </c>
      <c r="E32" s="101"/>
      <c r="F32" s="49" t="e">
        <f>'Прайс Уфа'!#REF!</f>
        <v>#REF!</v>
      </c>
      <c r="I32" s="35"/>
    </row>
    <row r="33" spans="1:9" ht="80.099999999999994" hidden="1" customHeight="1" thickBot="1" x14ac:dyDescent="0.3">
      <c r="A33" s="207"/>
      <c r="B33" s="84" t="e">
        <f>'Расчет Уфа'!#REF!</f>
        <v>#REF!</v>
      </c>
      <c r="C33" s="67" t="e">
        <f>'Расчет Уфа'!#REF!</f>
        <v>#REF!</v>
      </c>
      <c r="D33" s="68" t="e">
        <f>'Прайс Уфа'!#REF!</f>
        <v>#REF!</v>
      </c>
      <c r="E33" s="104"/>
      <c r="F33" s="69" t="e">
        <f>'Прайс Уфа'!#REF!</f>
        <v>#REF!</v>
      </c>
      <c r="I33" s="35"/>
    </row>
    <row r="34" spans="1:9" ht="60" hidden="1" customHeight="1" thickBot="1" x14ac:dyDescent="0.3">
      <c r="A34" s="208" t="e">
        <f>'Расчет Уфа'!#REF!</f>
        <v>#REF!</v>
      </c>
      <c r="B34" s="209"/>
      <c r="C34" s="70" t="e">
        <f>'Расчет Уфа'!#REF!</f>
        <v>#REF!</v>
      </c>
      <c r="D34" s="73" t="e">
        <f>'Прайс Уфа'!#REF!</f>
        <v>#REF!</v>
      </c>
      <c r="E34" s="105"/>
      <c r="F34" s="71" t="e">
        <f>'Прайс Уфа'!#REF!</f>
        <v>#REF!</v>
      </c>
      <c r="G34" s="97" t="e">
        <f t="shared" ref="G34:G35" si="0">D34-(D34*3%)</f>
        <v>#REF!</v>
      </c>
      <c r="I34" s="35" t="e">
        <f t="shared" ref="I34:I35" si="1">D34-F34</f>
        <v>#REF!</v>
      </c>
    </row>
    <row r="35" spans="1:9" ht="60" hidden="1" customHeight="1" thickBot="1" x14ac:dyDescent="0.3">
      <c r="A35" s="183" t="e">
        <f>'Расчет Уфа'!#REF!</f>
        <v>#REF!</v>
      </c>
      <c r="B35" s="184"/>
      <c r="C35" s="74" t="e">
        <f>'Расчет Уфа'!#REF!</f>
        <v>#REF!</v>
      </c>
      <c r="D35" s="75" t="e">
        <f>'Прайс Уфа'!D23</f>
        <v>#REF!</v>
      </c>
      <c r="E35" s="106"/>
      <c r="F35" s="76" t="e">
        <f>'Прайс Уфа'!E23</f>
        <v>#REF!</v>
      </c>
      <c r="G35" s="97" t="e">
        <f t="shared" si="0"/>
        <v>#REF!</v>
      </c>
      <c r="I35" s="35" t="e">
        <f t="shared" si="1"/>
        <v>#REF!</v>
      </c>
    </row>
    <row r="36" spans="1:9" ht="39.950000000000003" customHeight="1" x14ac:dyDescent="0.25">
      <c r="A36" s="52"/>
      <c r="B36" s="87"/>
      <c r="C36" s="53"/>
      <c r="D36" s="52"/>
      <c r="E36" s="52"/>
      <c r="F36" s="52"/>
    </row>
    <row r="37" spans="1:9" s="54" customFormat="1" ht="33" customHeight="1" x14ac:dyDescent="0.25">
      <c r="A37" s="195" t="s">
        <v>25</v>
      </c>
      <c r="B37" s="195"/>
      <c r="C37" s="195"/>
      <c r="D37" s="195"/>
      <c r="E37" s="195"/>
      <c r="F37" s="195"/>
      <c r="G37" s="99"/>
    </row>
    <row r="38" spans="1:9" s="54" customFormat="1" ht="33" customHeight="1" x14ac:dyDescent="0.25">
      <c r="A38" s="195" t="s">
        <v>26</v>
      </c>
      <c r="B38" s="195"/>
      <c r="C38" s="195"/>
      <c r="D38" s="72"/>
      <c r="E38" s="96"/>
      <c r="F38" s="72"/>
      <c r="G38" s="99"/>
    </row>
    <row r="39" spans="1:9" s="54" customFormat="1" ht="33" customHeight="1" x14ac:dyDescent="0.25">
      <c r="A39" s="195" t="s">
        <v>45</v>
      </c>
      <c r="B39" s="195"/>
      <c r="C39" s="195"/>
      <c r="D39" s="195"/>
      <c r="E39" s="195"/>
      <c r="F39" s="195"/>
      <c r="G39" s="99"/>
    </row>
    <row r="40" spans="1:9" s="54" customFormat="1" ht="33" customHeight="1" x14ac:dyDescent="0.25">
      <c r="A40" s="195" t="s">
        <v>27</v>
      </c>
      <c r="B40" s="195"/>
      <c r="C40" s="195"/>
      <c r="D40" s="195"/>
      <c r="E40" s="195"/>
      <c r="F40" s="195"/>
      <c r="G40" s="99"/>
    </row>
    <row r="41" spans="1:9" s="54" customFormat="1" ht="33" customHeight="1" x14ac:dyDescent="0.25">
      <c r="A41" s="72" t="s">
        <v>28</v>
      </c>
      <c r="B41" s="88"/>
      <c r="C41" s="72"/>
      <c r="D41" s="72"/>
      <c r="E41" s="96"/>
      <c r="F41" s="72"/>
      <c r="G41" s="99"/>
    </row>
    <row r="42" spans="1:9" s="54" customFormat="1" ht="33" customHeight="1" x14ac:dyDescent="0.25">
      <c r="A42" s="55" t="s">
        <v>29</v>
      </c>
      <c r="B42" s="89"/>
      <c r="C42" s="72"/>
      <c r="D42" s="72"/>
      <c r="E42" s="96"/>
      <c r="F42" s="72"/>
      <c r="G42" s="99"/>
    </row>
    <row r="43" spans="1:9" ht="28.5" x14ac:dyDescent="0.25">
      <c r="A43" s="72"/>
      <c r="B43" s="88"/>
      <c r="C43" s="72"/>
      <c r="D43" s="72"/>
      <c r="E43" s="96"/>
      <c r="F43" s="72"/>
    </row>
    <row r="44" spans="1:9" ht="28.5" x14ac:dyDescent="0.45">
      <c r="A44" s="56"/>
      <c r="B44" s="90"/>
      <c r="C44" s="56"/>
      <c r="D44" s="56"/>
      <c r="E44" s="56"/>
      <c r="F44" s="56"/>
    </row>
  </sheetData>
  <mergeCells count="30">
    <mergeCell ref="A21:A22"/>
    <mergeCell ref="A23:A24"/>
    <mergeCell ref="A25:A27"/>
    <mergeCell ref="A10:A11"/>
    <mergeCell ref="B10:B11"/>
    <mergeCell ref="C10:C11"/>
    <mergeCell ref="D10:F10"/>
    <mergeCell ref="A18:A20"/>
    <mergeCell ref="D2:F2"/>
    <mergeCell ref="D3:F3"/>
    <mergeCell ref="D5:F5"/>
    <mergeCell ref="A7:F7"/>
    <mergeCell ref="A8:F8"/>
    <mergeCell ref="E9:F9"/>
    <mergeCell ref="D11:F11"/>
    <mergeCell ref="D13:F13"/>
    <mergeCell ref="D16:F16"/>
    <mergeCell ref="D19:F19"/>
    <mergeCell ref="A40:F40"/>
    <mergeCell ref="A31:A33"/>
    <mergeCell ref="A34:B34"/>
    <mergeCell ref="A35:B35"/>
    <mergeCell ref="A37:F37"/>
    <mergeCell ref="A38:C38"/>
    <mergeCell ref="A39:F39"/>
    <mergeCell ref="D23:F23"/>
    <mergeCell ref="D28:F28"/>
    <mergeCell ref="D29:F29"/>
    <mergeCell ref="D30:F30"/>
    <mergeCell ref="A29:A30"/>
  </mergeCells>
  <hyperlinks>
    <hyperlink ref="A42" r:id="rId1"/>
  </hyperlinks>
  <pageMargins left="0.59055118110236227" right="0.59055118110236227" top="0.19685039370078741" bottom="0.19685039370078741" header="0" footer="0"/>
  <pageSetup paperSize="9" scale="3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Расчет Уфа</vt:lpstr>
      <vt:lpstr>Прайс Уфа</vt:lpstr>
      <vt:lpstr>Прайс Стерлитамак</vt:lpstr>
      <vt:lpstr>'Прайс Стерлитамак'!Область_печати</vt:lpstr>
      <vt:lpstr>'Прайс Уфа'!Область_печати</vt:lpstr>
      <vt:lpstr>'Расчет Уфа'!Область_печати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Малахова Наталья</dc:creator>
  <cp:lastModifiedBy>Пользователь Windows</cp:lastModifiedBy>
  <cp:lastPrinted>2022-09-01T11:24:01Z</cp:lastPrinted>
  <dcterms:created xsi:type="dcterms:W3CDTF">2016-05-10T09:27:16Z</dcterms:created>
  <dcterms:modified xsi:type="dcterms:W3CDTF">2022-09-20T06:14:26Z</dcterms:modified>
</cp:coreProperties>
</file>